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.DESKTOP-COHMG30\Downloads\"/>
    </mc:Choice>
  </mc:AlternateContent>
  <xr:revisionPtr revIDLastSave="0" documentId="13_ncr:1_{B1C7CA1C-369C-4E0E-B87F-CF51E2BFEBAB}" xr6:coauthVersionLast="36" xr6:coauthVersionMax="36" xr10:uidLastSave="{00000000-0000-0000-0000-000000000000}"/>
  <bookViews>
    <workbookView xWindow="0" yWindow="0" windowWidth="28800" windowHeight="12225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7" i="4"/>
  <c r="L6" i="9"/>
  <c r="K6" i="9"/>
  <c r="H6" i="9"/>
  <c r="O5" i="9"/>
  <c r="L5" i="9"/>
  <c r="K5" i="9"/>
  <c r="H5" i="9"/>
  <c r="O4" i="9"/>
  <c r="L4" i="9"/>
  <c r="K4" i="9"/>
  <c r="H4" i="9"/>
  <c r="O3" i="9"/>
  <c r="M3" i="9"/>
  <c r="H3" i="9"/>
  <c r="O2" i="9"/>
  <c r="E14" i="3"/>
  <c r="D14" i="3"/>
  <c r="C14" i="3"/>
  <c r="B14" i="3"/>
  <c r="C9" i="5"/>
  <c r="B9" i="5"/>
  <c r="C8" i="5"/>
  <c r="B8" i="5"/>
  <c r="C7" i="5"/>
  <c r="B7" i="5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<sst xmlns="http://schemas.openxmlformats.org/spreadsheetml/2006/main" count="172" uniqueCount="90">
  <si>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</si>
  <si>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</si>
  <si>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</si>
  <si>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</si>
  <si>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</si>
  <si>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</si>
  <si>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</si>
  <si>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</si>
  <si>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</si>
  <si>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</si>
  <si>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</si>
  <si>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</si>
  <si>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</si>
  <si>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</si>
  <si>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</si>
  <si>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</si>
  <si>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</si>
  <si>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</si>
  <si>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</si>
  <si>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</si>
  <si>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</si>
  <si>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</si>
  <si>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</si>
  <si>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</si>
  <si>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</si>
  <si>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</si>
  <si>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</si>
  <si>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</si>
  <si>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</si>
  <si>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</si>
  <si>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</si>
  <si>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</si>
  <si>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</si>
  <si>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</si>
  <si>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</si>
  <si>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</si>
  <si>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</si>
  <si>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</si>
  <si>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</si>
  <si>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</si>
  <si>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</si>
  <si>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</si>
  <si>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</si>
  <si>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</si>
  <si>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</si>
  <si>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</si>
  <si>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</si>
  <si>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</si>
  <si>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</si>
  <si>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</si>
  <si>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</si>
  <si>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</si>
  <si>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</si>
  <si>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</si>
  <si>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</si>
  <si>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</si>
  <si>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</si>
  <si>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</si>
  <si>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</si>
  <si>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</si>
  <si>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</si>
  <si>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</si>
  <si>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</si>
  <si>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</si>
  <si>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</si>
  <si>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</si>
  <si>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</si>
  <si>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</si>
  <si>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</si>
  <si>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</si>
  <si>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</si>
  <si>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</si>
  <si>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</si>
  <si>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</si>
  <si>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</si>
  <si>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</si>
  <si>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</si>
  <si>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</si>
  <si>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</si>
  <si>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</si>
  <si>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</si>
  <si>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</si>
  <si>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</si>
  <si>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</si>
  <si>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</si>
  <si>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</si>
  <si>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</si>
  <si>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</si>
  <si>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</si>
  <si>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1379773704,3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</si>
</sst>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1" fontId="0" fillId="0" borderId="0" xfId="1" applyFont="1"/>
    <xf numFmtId="9" fontId="0" fillId="0" borderId="0" xfId="3" applyFont="1"/>
    <xf numFmtId="9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Fill="1"/>
    <xf numFmtId="42" fontId="0" fillId="0" borderId="0" xfId="2" applyFont="1" applyFill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B76902A-0D37-4607-964C-B27B85F7475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SGP_mun50PuertoGaitan%20inf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 refreshError="1">
        <row r="3">
          <cell r="B3">
            <v>433945365.62</v>
          </cell>
          <cell r="C3">
            <v>718924373</v>
          </cell>
          <cell r="D3">
            <v>754870591.64999998</v>
          </cell>
          <cell r="E3">
            <v>792614121.23000002</v>
          </cell>
        </row>
        <row r="4">
          <cell r="B4">
            <v>181813821.84</v>
          </cell>
          <cell r="C4">
            <v>279850706</v>
          </cell>
          <cell r="D4">
            <v>293843241.30000001</v>
          </cell>
          <cell r="E4">
            <v>308535403.36000001</v>
          </cell>
        </row>
        <row r="9">
          <cell r="D9">
            <v>2612927912.48</v>
          </cell>
          <cell r="E9">
            <v>2743574308.0999999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2" sqref="B2:H9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8.85546875" customWidth="1"/>
    <col min="4" max="4" width="16.71093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>
        <f>336187055+97758310.62</f>
        <v>433945365.62</v>
      </c>
      <c r="C3">
        <v>718924373</v>
      </c>
      <c r="D3">
        <v>754870591.64999998</v>
      </c>
      <c r="E3">
        <v>792614121.23000002</v>
      </c>
      <c r="F3" t="s">
        <v>56</v>
      </c>
    </row>
    <row r="4" spans="1:8" x14ac:dyDescent="0.25">
      <c r="A4" t="s">
        <v>37</v>
      </c>
      <c r="B4">
        <f>136174110+45639711.84</f>
        <v>181813821.84</v>
      </c>
      <c r="C4">
        <v>279850706</v>
      </c>
      <c r="D4">
        <v>293843241.30000001</v>
      </c>
      <c r="E4">
        <v>308535403.36000001</v>
      </c>
      <c r="F4" t="s">
        <v>56</v>
      </c>
    </row>
    <row r="5" spans="1:8" x14ac:dyDescent="0.25">
      <c r="A5" t="s">
        <v>38</v>
      </c>
      <c r="B5">
        <f>1865172945+348569239.54</f>
        <v>2213742184.54</v>
      </c>
      <c r="C5">
        <v>1646343067</v>
      </c>
      <c r="D5">
        <v>1728660220.3500001</v>
      </c>
      <c r="E5">
        <v>1815093231.3599999</v>
      </c>
      <c r="F5" t="s">
        <v>56</v>
      </c>
      <c r="G5" t="s">
        <v>54</v>
      </c>
    </row>
    <row r="6" spans="1:8" x14ac:dyDescent="0.25">
      <c r="A6" t="s">
        <v>39</v>
      </c>
    </row>
    <row r="7" spans="1:8" x14ac:dyDescent="0.25">
      <c r="A7" t="s">
        <v>40</v>
      </c>
      <c r="B7">
        <f>61543998.56+115784294.07+(62322729.7*1.12)+(86709884.8*1.06)</f>
        <v>339042227.78200001</v>
      </c>
      <c r="C7">
        <f>((28776367.86+84543753.34)*1.2172)+439009608.31</f>
        <v>576942859.83464003</v>
      </c>
      <c r="D7">
        <v>605790002.82000005</v>
      </c>
      <c r="E7">
        <v>636079502.96000004</v>
      </c>
      <c r="F7" t="s">
        <v>56</v>
      </c>
      <c r="G7" t="s">
        <v>54</v>
      </c>
    </row>
    <row r="8" spans="1:8" x14ac:dyDescent="0.25">
      <c r="A8" t="s">
        <v>41</v>
      </c>
      <c r="B8">
        <f>(63297260.75*1.12)+(88997928*1.06)</f>
        <v>165230735.72000003</v>
      </c>
      <c r="C8">
        <f>((66262380.24+63623332.68)*1.2172)</f>
        <v>158096889.766224</v>
      </c>
      <c r="D8">
        <v>166001734.25</v>
      </c>
      <c r="E8">
        <v>174301820.96000001</v>
      </c>
      <c r="F8" t="s">
        <v>56</v>
      </c>
      <c r="G8" t="s">
        <v>54</v>
      </c>
    </row>
    <row r="9" spans="1:8" x14ac:dyDescent="0.25">
      <c r="A9" t="s">
        <v>42</v>
      </c>
      <c r="B9">
        <f>(941313442.2*1.12)+(1309653484.8*1.06)</f>
        <v>2442503749.1520004</v>
      </c>
      <c r="C9">
        <f>2044448548.96*1.2172</f>
        <v>2488502773.7941122</v>
      </c>
      <c r="D9">
        <v>2612927912.48</v>
      </c>
      <c r="E9">
        <v>2743574308.0999999</v>
      </c>
      <c r="F9" t="s">
        <v>56</v>
      </c>
      <c r="G9" t="s">
        <v>54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Catalogos!$D$2:$D$19</xm:f>
          </x14:formula1>
          <xm:sqref>F10:H10</xm:sqref>
        </x14:dataValidation>
        <x14:dataValidation type="list" allowBlank="1" xr:uid="{2C6AC942-7739-4552-924D-4BE53C91FBEE}">
          <x14:formula1>
            <xm:f>[PlantillaSGP_mun50PuertoGaitan1.xlsx]Catalogos!#REF!</xm:f>
          </x14:formula1>
          <xm:sqref>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>
        <f>[2]PlantillaTotalUsos!B3+[2]PlantillaTotalUsos!B4</f>
        <v>615759187.46000004</v>
      </c>
      <c r="C14">
        <f>+[2]PlantillaTotalUsos!C3+[2]PlantillaTotalUsos!C4</f>
        <v>998775079</v>
      </c>
      <c r="D14">
        <f>+[2]PlantillaTotalUsos!D3+[2]PlantillaTotalUsos!D4</f>
        <v>1048713832.95</v>
      </c>
      <c r="E14">
        <f>+[2]PlantillaTotalUsos!E3+[2]PlantillaTotalUsos!E4</f>
        <v>1101149524.5900002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zoomScale="90" zoomScaleNormal="90" workbookViewId="0">
      <selection activeCell="B2" sqref="B2:S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85</v>
      </c>
      <c r="C2">
        <v>80</v>
      </c>
      <c r="D2">
        <v>24.2</v>
      </c>
      <c r="E2">
        <v>97.5</v>
      </c>
      <c r="F2">
        <v>4</v>
      </c>
      <c r="G2">
        <v>57</v>
      </c>
      <c r="H2">
        <v>44</v>
      </c>
      <c r="I2">
        <v>50</v>
      </c>
      <c r="J2">
        <v>100</v>
      </c>
      <c r="K2">
        <v>11</v>
      </c>
      <c r="L2" s="11">
        <v>6225.09</v>
      </c>
      <c r="M2" s="12">
        <v>0.01</v>
      </c>
      <c r="N2" s="13">
        <v>0.5</v>
      </c>
      <c r="O2" s="14">
        <f>(((64*86.4*360)-(3006*16*12))/3006)/12</f>
        <v>39.185628742514979</v>
      </c>
      <c r="P2">
        <v>13071000000</v>
      </c>
      <c r="Q2" s="15">
        <v>4088000000</v>
      </c>
      <c r="R2">
        <v>39594327248</v>
      </c>
      <c r="S2">
        <v>230000000</v>
      </c>
    </row>
    <row r="3" spans="1:19" x14ac:dyDescent="0.25">
      <c r="A3" t="s">
        <v>85</v>
      </c>
      <c r="B3">
        <v>87</v>
      </c>
      <c r="C3">
        <v>85</v>
      </c>
      <c r="D3">
        <v>4</v>
      </c>
      <c r="E3">
        <v>80</v>
      </c>
      <c r="F3">
        <v>4</v>
      </c>
      <c r="G3">
        <v>75</v>
      </c>
      <c r="H3" s="12">
        <f>5/9</f>
        <v>0.55555555555555558</v>
      </c>
      <c r="I3">
        <v>50</v>
      </c>
      <c r="J3">
        <v>100</v>
      </c>
      <c r="K3">
        <v>11</v>
      </c>
      <c r="L3" s="11">
        <v>6884.579999999999</v>
      </c>
      <c r="M3" s="12">
        <f>(16.4*12)/L3</f>
        <v>2.8585621780849377E-2</v>
      </c>
      <c r="N3" s="13">
        <v>0.6</v>
      </c>
      <c r="O3" s="14">
        <f>(((64*86.4*360)-(3094*16*12))/3094)/12</f>
        <v>37.616031027795742</v>
      </c>
      <c r="P3">
        <v>85</v>
      </c>
      <c r="Q3" s="15">
        <v>0</v>
      </c>
      <c r="R3">
        <v>10</v>
      </c>
      <c r="S3">
        <v>100</v>
      </c>
    </row>
    <row r="4" spans="1:19" x14ac:dyDescent="0.25">
      <c r="A4" t="s">
        <v>86</v>
      </c>
      <c r="B4">
        <v>90</v>
      </c>
      <c r="C4">
        <v>88</v>
      </c>
      <c r="D4">
        <v>4</v>
      </c>
      <c r="E4">
        <v>60</v>
      </c>
      <c r="F4">
        <v>6</v>
      </c>
      <c r="G4">
        <v>80</v>
      </c>
      <c r="H4" s="12">
        <f>6/9</f>
        <v>0.66666666666666663</v>
      </c>
      <c r="I4">
        <v>50</v>
      </c>
      <c r="J4">
        <v>100</v>
      </c>
      <c r="K4" s="12">
        <f>5/9</f>
        <v>0.55555555555555558</v>
      </c>
      <c r="L4" s="11">
        <f>L3*1.05</f>
        <v>7228.8089999999993</v>
      </c>
      <c r="M4" s="13">
        <v>0.06</v>
      </c>
      <c r="N4" s="13">
        <v>0.7</v>
      </c>
      <c r="O4" s="14">
        <f>(((64*86.4*360)-(4000*16*12))/4000)/12</f>
        <v>25.472000000000005</v>
      </c>
      <c r="P4">
        <v>41.5</v>
      </c>
      <c r="Q4" s="15">
        <v>0</v>
      </c>
      <c r="R4">
        <v>10</v>
      </c>
    </row>
    <row r="5" spans="1:19" x14ac:dyDescent="0.25">
      <c r="A5" t="s">
        <v>87</v>
      </c>
      <c r="B5">
        <v>93</v>
      </c>
      <c r="C5">
        <v>93</v>
      </c>
      <c r="D5">
        <v>4</v>
      </c>
      <c r="E5">
        <v>50</v>
      </c>
      <c r="F5">
        <v>9</v>
      </c>
      <c r="G5">
        <v>85</v>
      </c>
      <c r="H5" s="12">
        <f>6/9</f>
        <v>0.66666666666666663</v>
      </c>
      <c r="I5">
        <v>80</v>
      </c>
      <c r="J5">
        <v>100</v>
      </c>
      <c r="K5" s="12">
        <f>6/9</f>
        <v>0.66666666666666663</v>
      </c>
      <c r="L5" s="11">
        <f>L4*1.05</f>
        <v>7590.2494499999993</v>
      </c>
      <c r="M5" s="13">
        <v>0.1</v>
      </c>
      <c r="N5" s="13">
        <v>0.8</v>
      </c>
      <c r="O5" s="14">
        <f>(((64*86.4*360)-(4800*16*12))/4800)/12</f>
        <v>18.560000000000006</v>
      </c>
      <c r="Q5" s="15"/>
    </row>
    <row r="6" spans="1:19" x14ac:dyDescent="0.25">
      <c r="A6" t="s">
        <v>88</v>
      </c>
      <c r="B6">
        <v>97</v>
      </c>
      <c r="C6">
        <v>97</v>
      </c>
      <c r="D6">
        <v>4</v>
      </c>
      <c r="E6">
        <v>35</v>
      </c>
      <c r="F6">
        <v>12</v>
      </c>
      <c r="G6">
        <v>90</v>
      </c>
      <c r="H6" s="12">
        <f>7/9</f>
        <v>0.77777777777777779</v>
      </c>
      <c r="I6">
        <v>90</v>
      </c>
      <c r="J6">
        <v>100</v>
      </c>
      <c r="K6" s="12">
        <f>6/9</f>
        <v>0.66666666666666663</v>
      </c>
      <c r="L6" s="11">
        <f>L5*1.05</f>
        <v>7969.7619224999999</v>
      </c>
      <c r="M6" s="13">
        <v>0.15</v>
      </c>
      <c r="N6" s="13">
        <v>0.95</v>
      </c>
      <c r="O6" s="14">
        <v>6</v>
      </c>
      <c r="Q6" s="15"/>
    </row>
    <row r="7" spans="1:19" x14ac:dyDescent="0.25">
      <c r="Q7" s="15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5">
        <v>1340000000</v>
      </c>
    </row>
    <row r="3" spans="1:3" x14ac:dyDescent="0.25">
      <c r="A3" t="s">
        <v>64</v>
      </c>
      <c r="B3" t="s">
        <v>65</v>
      </c>
      <c r="C3" s="15">
        <v>500000000</v>
      </c>
    </row>
    <row r="4" spans="1:3" x14ac:dyDescent="0.25">
      <c r="A4" t="s">
        <v>64</v>
      </c>
      <c r="B4" t="s">
        <v>66</v>
      </c>
      <c r="C4" s="15">
        <v>1750000000</v>
      </c>
    </row>
    <row r="5" spans="1:3" x14ac:dyDescent="0.25">
      <c r="A5" t="s">
        <v>64</v>
      </c>
      <c r="B5" t="s">
        <v>67</v>
      </c>
      <c r="C5" s="15">
        <v>500000000</v>
      </c>
    </row>
    <row r="6" spans="1:3" x14ac:dyDescent="0.25">
      <c r="A6" t="s">
        <v>64</v>
      </c>
      <c r="B6" t="s">
        <v>68</v>
      </c>
      <c r="C6" s="15">
        <v>1400000000</v>
      </c>
    </row>
    <row r="7" spans="1:3" x14ac:dyDescent="0.25">
      <c r="A7" t="s">
        <v>69</v>
      </c>
      <c r="B7" t="s">
        <v>70</v>
      </c>
      <c r="C7" s="15">
        <f>600000000+700000000+1600000000+2300000000+2000000000+2000000000</f>
        <v>9200000000</v>
      </c>
    </row>
    <row r="8" spans="1:3" x14ac:dyDescent="0.25">
      <c r="A8" t="s">
        <v>69</v>
      </c>
      <c r="B8" t="s">
        <v>71</v>
      </c>
      <c r="C8" s="15">
        <v>0</v>
      </c>
    </row>
    <row r="9" spans="1:3" x14ac:dyDescent="0.25">
      <c r="A9" t="s">
        <v>62</v>
      </c>
      <c r="B9" t="s">
        <v>72</v>
      </c>
      <c r="C9" s="15">
        <v>66666666</v>
      </c>
    </row>
    <row r="10" spans="1:3" x14ac:dyDescent="0.25">
      <c r="A10" t="s">
        <v>62</v>
      </c>
      <c r="B10" t="s">
        <v>73</v>
      </c>
      <c r="C10" s="15">
        <f>+[2]PlantillaTotalUsos!D9+[2]PlantillaTotalUsos!E9</f>
        <v>5356502220.5799999</v>
      </c>
    </row>
    <row r="11" spans="1:3" x14ac:dyDescent="0.25">
      <c r="A11" t="s">
        <v>64</v>
      </c>
      <c r="B11" t="s">
        <v>74</v>
      </c>
      <c r="C11" s="15">
        <v>7500000000</v>
      </c>
    </row>
    <row r="12" spans="1:3" x14ac:dyDescent="0.25">
      <c r="A12" t="s">
        <v>75</v>
      </c>
      <c r="B12" t="s">
        <v>76</v>
      </c>
      <c r="C12" s="15">
        <v>700000000</v>
      </c>
    </row>
    <row r="13" spans="1:3" x14ac:dyDescent="0.25">
      <c r="A13" t="s">
        <v>75</v>
      </c>
      <c r="B13" t="s">
        <v>77</v>
      </c>
      <c r="C13" s="15">
        <v>1500000000</v>
      </c>
    </row>
    <row r="14" spans="1:3" x14ac:dyDescent="0.25">
      <c r="A14" t="s">
        <v>75</v>
      </c>
      <c r="B14" t="s">
        <v>78</v>
      </c>
      <c r="C14" s="15" t="s">
        <v>89</v>
      </c>
    </row>
    <row r="15" spans="1:3" x14ac:dyDescent="0.25">
      <c r="A15" t="s">
        <v>75</v>
      </c>
      <c r="B15" t="s">
        <v>79</v>
      </c>
      <c r="C15" s="15">
        <v>7500000000</v>
      </c>
    </row>
    <row r="16" spans="1:3" x14ac:dyDescent="0.25">
      <c r="A16" t="s">
        <v>75</v>
      </c>
      <c r="B16" t="s">
        <v>80</v>
      </c>
      <c r="C16" s="15">
        <v>1100200000</v>
      </c>
    </row>
    <row r="17" spans="1:3" x14ac:dyDescent="0.25">
      <c r="A17" t="s">
        <v>75</v>
      </c>
      <c r="B17" t="s">
        <v>81</v>
      </c>
      <c r="C17" s="16">
        <v>15340163627</v>
      </c>
    </row>
    <row r="18" spans="1:3" x14ac:dyDescent="0.25">
      <c r="A18" t="s">
        <v>62</v>
      </c>
      <c r="B18" t="s">
        <v>82</v>
      </c>
      <c r="C18" s="15">
        <v>1400000000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2021-05-28T22:22:30Z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